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★★유수율 (폴더)\★유수율 산출\2019년 유수율\11월\"/>
    </mc:Choice>
  </mc:AlternateContent>
  <bookViews>
    <workbookView xWindow="9705" yWindow="45" windowWidth="9510" windowHeight="6165" tabRatio="892"/>
  </bookViews>
  <sheets>
    <sheet name="2019년 유수율" sheetId="62994" r:id="rId1"/>
  </sheets>
  <calcPr calcId="152511"/>
</workbook>
</file>

<file path=xl/calcChain.xml><?xml version="1.0" encoding="utf-8"?>
<calcChain xmlns="http://schemas.openxmlformats.org/spreadsheetml/2006/main">
  <c r="K39" i="62994" l="1"/>
  <c r="F39" i="62994"/>
  <c r="K38" i="62994"/>
  <c r="F38" i="62994"/>
  <c r="F33" i="62994" l="1"/>
  <c r="K36" i="62994" l="1"/>
  <c r="K33" i="62994"/>
  <c r="I33" i="62994" l="1"/>
  <c r="H33" i="62994"/>
  <c r="F36" i="62994" l="1"/>
  <c r="K35" i="62994"/>
  <c r="F35" i="62994"/>
  <c r="I30" i="62994" l="1"/>
  <c r="H30" i="62994" l="1"/>
  <c r="K32" i="62994" l="1"/>
  <c r="F32" i="62994"/>
  <c r="I27" i="62994" l="1"/>
  <c r="H27" i="62994"/>
  <c r="F27" i="62994"/>
  <c r="K29" i="62994" l="1"/>
  <c r="F29" i="62994"/>
  <c r="I24" i="62994" l="1"/>
  <c r="I21" i="62994"/>
  <c r="H24" i="62994"/>
  <c r="F24" i="62994"/>
  <c r="K26" i="62994" l="1"/>
  <c r="F26" i="62994"/>
  <c r="K23" i="62994" l="1"/>
  <c r="H21" i="62994" l="1"/>
  <c r="F21" i="62994"/>
  <c r="F23" i="62994" l="1"/>
  <c r="I18" i="62994" l="1"/>
  <c r="H18" i="62994" l="1"/>
  <c r="F18" i="62994"/>
  <c r="K20" i="62994" l="1"/>
  <c r="F20" i="62994"/>
  <c r="F15" i="62994" l="1"/>
  <c r="I15" i="62994"/>
  <c r="H15" i="62994"/>
  <c r="F17" i="62994" l="1"/>
  <c r="K17" i="62994"/>
  <c r="I12" i="62994" l="1"/>
  <c r="H12" i="62994"/>
  <c r="F12" i="62994"/>
  <c r="F14" i="62994" l="1"/>
  <c r="K14" i="62994"/>
  <c r="F9" i="62994" l="1"/>
  <c r="F8" i="62994"/>
  <c r="I9" i="62994" l="1"/>
  <c r="H9" i="62994"/>
  <c r="K11" i="62994" l="1"/>
  <c r="F11" i="62994"/>
  <c r="K8" i="62994" l="1"/>
  <c r="J43" i="62994" l="1"/>
  <c r="I43" i="62994"/>
  <c r="G43" i="62994"/>
  <c r="F43" i="62994"/>
  <c r="E43" i="62994"/>
  <c r="D43" i="62994"/>
  <c r="H43" i="62994"/>
  <c r="K43" i="62994"/>
  <c r="J40" i="62994"/>
  <c r="I40" i="62994"/>
  <c r="H40" i="62994"/>
  <c r="G40" i="62994"/>
  <c r="E40" i="62994"/>
  <c r="D40" i="62994"/>
  <c r="K40" i="62994"/>
  <c r="F40" i="62994"/>
  <c r="J37" i="62994"/>
  <c r="I37" i="62994"/>
  <c r="G37" i="62994"/>
  <c r="E37" i="62994"/>
  <c r="D37" i="62994"/>
  <c r="H37" i="62994"/>
  <c r="K37" i="62994"/>
  <c r="F37" i="62994"/>
  <c r="J34" i="62994"/>
  <c r="I34" i="62994"/>
  <c r="H34" i="62994"/>
  <c r="G34" i="62994"/>
  <c r="E34" i="62994"/>
  <c r="D34" i="62994"/>
  <c r="K34" i="62994"/>
  <c r="F34" i="62994"/>
  <c r="J31" i="62994"/>
  <c r="I31" i="62994"/>
  <c r="G31" i="62994"/>
  <c r="F31" i="62994"/>
  <c r="E31" i="62994"/>
  <c r="D31" i="62994"/>
  <c r="K31" i="62994"/>
  <c r="H31" i="62994"/>
  <c r="J28" i="62994"/>
  <c r="I28" i="62994"/>
  <c r="G28" i="62994"/>
  <c r="F28" i="62994"/>
  <c r="E28" i="62994"/>
  <c r="D28" i="62994"/>
  <c r="H28" i="62994"/>
  <c r="K28" i="62994"/>
  <c r="K25" i="62994"/>
  <c r="J25" i="62994"/>
  <c r="G25" i="62994"/>
  <c r="F25" i="62994"/>
  <c r="E25" i="62994"/>
  <c r="D25" i="62994"/>
  <c r="I25" i="62994"/>
  <c r="H25" i="62994"/>
  <c r="K22" i="62994"/>
  <c r="J22" i="62994"/>
  <c r="I22" i="62994"/>
  <c r="G22" i="62994"/>
  <c r="E22" i="62994"/>
  <c r="D22" i="62994"/>
  <c r="H22" i="62994"/>
  <c r="F22" i="62994"/>
  <c r="K19" i="62994"/>
  <c r="J19" i="62994"/>
  <c r="I19" i="62994"/>
  <c r="H19" i="62994"/>
  <c r="G19" i="62994"/>
  <c r="E19" i="62994"/>
  <c r="D19" i="62994"/>
  <c r="F19" i="62994"/>
  <c r="K16" i="62994"/>
  <c r="J16" i="62994"/>
  <c r="I16" i="62994"/>
  <c r="H16" i="62994"/>
  <c r="G16" i="62994"/>
  <c r="E16" i="62994"/>
  <c r="D16" i="62994"/>
  <c r="F16" i="62994"/>
  <c r="K13" i="62994"/>
  <c r="J13" i="62994"/>
  <c r="H13" i="62994"/>
  <c r="G13" i="62994"/>
  <c r="E13" i="62994"/>
  <c r="D13" i="62994"/>
  <c r="I13" i="62994"/>
  <c r="F13" i="62994"/>
  <c r="C41" i="62994" l="1"/>
  <c r="C42" i="62994"/>
  <c r="C43" i="62994" l="1"/>
  <c r="C38" i="62994"/>
  <c r="C35" i="62994"/>
  <c r="C33" i="62994"/>
  <c r="C32" i="62994"/>
  <c r="C29" i="62994"/>
  <c r="C27" i="62994"/>
  <c r="C26" i="62994"/>
  <c r="C24" i="62994"/>
  <c r="C23" i="62994"/>
  <c r="C21" i="62994"/>
  <c r="C20" i="62994"/>
  <c r="C18" i="62994"/>
  <c r="C17" i="62994"/>
  <c r="C15" i="62994"/>
  <c r="C14" i="62994"/>
  <c r="C12" i="62994"/>
  <c r="C11" i="62994"/>
  <c r="K10" i="62994"/>
  <c r="J10" i="62994"/>
  <c r="I10" i="62994"/>
  <c r="G10" i="62994"/>
  <c r="E10" i="62994"/>
  <c r="D10" i="62994"/>
  <c r="H7" i="62994"/>
  <c r="C9" i="62994"/>
  <c r="C8" i="62994"/>
  <c r="K7" i="62994"/>
  <c r="J7" i="62994"/>
  <c r="G7" i="62994"/>
  <c r="F7" i="62994"/>
  <c r="E7" i="62994"/>
  <c r="D7" i="62994"/>
  <c r="K6" i="62994"/>
  <c r="J6" i="62994"/>
  <c r="I6" i="62994"/>
  <c r="H6" i="62994"/>
  <c r="G6" i="62994"/>
  <c r="F6" i="62994"/>
  <c r="E6" i="62994"/>
  <c r="D6" i="62994"/>
  <c r="C34" i="62994" l="1"/>
  <c r="C25" i="62994"/>
  <c r="C28" i="62994"/>
  <c r="C22" i="62994"/>
  <c r="C19" i="62994"/>
  <c r="C16" i="62994"/>
  <c r="C13" i="62994"/>
  <c r="C10" i="62994"/>
  <c r="E5" i="62994"/>
  <c r="J5" i="62994"/>
  <c r="D5" i="62994"/>
  <c r="C6" i="62994"/>
  <c r="H5" i="62994"/>
  <c r="K5" i="62994"/>
  <c r="F5" i="62994"/>
  <c r="G5" i="62994"/>
  <c r="H10" i="62994"/>
  <c r="C30" i="62994"/>
  <c r="C39" i="62994"/>
  <c r="F10" i="62994"/>
  <c r="C36" i="62994"/>
  <c r="I7" i="62994"/>
  <c r="C40" i="62994" l="1"/>
  <c r="C37" i="62994"/>
  <c r="C31" i="62994"/>
  <c r="I5" i="62994"/>
  <c r="C7" i="62994"/>
  <c r="C5" i="62994" l="1"/>
</calcChain>
</file>

<file path=xl/sharedStrings.xml><?xml version="1.0" encoding="utf-8"?>
<sst xmlns="http://schemas.openxmlformats.org/spreadsheetml/2006/main" count="76" uniqueCount="39">
  <si>
    <t>유수율</t>
    <phoneticPr fontId="2" type="noConversion"/>
  </si>
  <si>
    <t>계</t>
    <phoneticPr fontId="2" type="noConversion"/>
  </si>
  <si>
    <t>공급량</t>
    <phoneticPr fontId="2" type="noConversion"/>
  </si>
  <si>
    <t>조정량</t>
    <phoneticPr fontId="2" type="noConversion"/>
  </si>
  <si>
    <t>남부</t>
    <phoneticPr fontId="2" type="noConversion"/>
  </si>
  <si>
    <t>강남</t>
    <phoneticPr fontId="2" type="noConversion"/>
  </si>
  <si>
    <t>구 분</t>
    <phoneticPr fontId="2" type="noConversion"/>
  </si>
  <si>
    <r>
      <t xml:space="preserve">( </t>
    </r>
    <r>
      <rPr>
        <sz val="10"/>
        <rFont val="돋움"/>
        <family val="3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 xml:space="preserve"> )</t>
    </r>
    <phoneticPr fontId="2" type="noConversion"/>
  </si>
  <si>
    <t>월별</t>
    <phoneticPr fontId="2" type="noConversion"/>
  </si>
  <si>
    <t>중부</t>
    <phoneticPr fontId="2" type="noConversion"/>
  </si>
  <si>
    <t>서부</t>
    <phoneticPr fontId="2" type="noConversion"/>
  </si>
  <si>
    <t>동부</t>
    <phoneticPr fontId="2" type="noConversion"/>
  </si>
  <si>
    <t>북부</t>
    <phoneticPr fontId="2" type="noConversion"/>
  </si>
  <si>
    <t>강서</t>
    <phoneticPr fontId="2" type="noConversion"/>
  </si>
  <si>
    <t>강동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</si>
  <si>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</si>
  <si>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</si>
  <si>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</si>
  <si>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</si>
  <si>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</si>
  <si>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</si>
  <si>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</si>
  <si>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</si>
  <si>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</si>
  <si>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</si>
  <si>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</si>
  <si>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</si>
  <si>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2019년 목표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</si>
  <si>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</si>
  <si>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</si>
  <si>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</si>
  <si>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</si>
  <si>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</si>
  <si>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</si>
  <si>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</si>
  <si>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</si>
  <si>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잠정</t>
    <phoneticPr fontId="2" type="noConversion"/>
  </si>
  <si>
    <t>확정</t>
    <phoneticPr fontId="2" type="noConversion"/>
  </si>
  <si>
    <t>잠정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</si>
</sst>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8" formatCode="0.0%"/>
    <numFmt numFmtId="186" formatCode="#,##0&quot; &quot;;[Red]&quot;△&quot;#,##0&quot; &quot;"/>
    <numFmt numFmtId="187" formatCode="#,##0.####;[Red]&quot;△&quot;#,##0.####"/>
    <numFmt numFmtId="188" formatCode="#,##0.00##;[Red]&quot;△&quot;#,##0.00##"/>
    <numFmt numFmtId="189" formatCode="_ * #,##0.00_ ;_ * \-#,##0.00_ ;_ * &quot;-&quot;??_ ;_ @_ "/>
    <numFmt numFmtId="190" formatCode="&quot;₩&quot;&quot;₩&quot;\!\!\$#,##0_);&quot;₩&quot;&quot;₩&quot;\!\!\(&quot;₩&quot;&quot;₩&quot;\!\!\$#,##0&quot;₩&quot;&quot;₩&quot;\!\!\)"/>
    <numFmt numFmtId="191" formatCode="&quot;₩&quot;&quot;₩&quot;\!\!\$#,##0_);[Red]&quot;₩&quot;&quot;₩&quot;\!\!\(&quot;₩&quot;&quot;₩&quot;\!\!\$#,##0&quot;₩&quot;&quot;₩&quot;\!\!\)"/>
    <numFmt numFmtId="192" formatCode="&quot;?#,##0.00;[Red]&quot;&quot;?&quot;\-#,##0.00"/>
    <numFmt numFmtId="193" formatCode="_ * #,##0_ ;_ * \-#,##0_ ;_ * &quot;-&quot;??_ ;_ @_ "/>
    <numFmt numFmtId="194" formatCode="_ * #,##0.0_ ;_ * &quot;△&quot;#,##0.0_ ;_ * &quot; &quot;_ ;_ @_ 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0"/>
      <name val="Arial"/>
      <family val="2"/>
    </font>
    <font>
      <b/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2"/>
      <name val="명조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indexed="10"/>
      <name val="굴림체"/>
      <family val="3"/>
      <charset val="129"/>
    </font>
    <font>
      <sz val="19"/>
      <name val="HY견고딕"/>
      <family val="1"/>
      <charset val="129"/>
    </font>
    <font>
      <sz val="11"/>
      <name val="HY울릉도M"/>
      <family val="1"/>
      <charset val="129"/>
    </font>
    <font>
      <sz val="11"/>
      <name val="HY헤드라인M"/>
      <family val="1"/>
      <charset val="129"/>
    </font>
    <font>
      <sz val="10"/>
      <name val="08서울남산체 L"/>
      <family val="1"/>
      <charset val="129"/>
    </font>
    <font>
      <sz val="10"/>
      <name val="08서울남산체 M"/>
      <family val="1"/>
      <charset val="129"/>
    </font>
    <font>
      <b/>
      <sz val="11"/>
      <name val="08서울남산체 M"/>
      <family val="1"/>
      <charset val="129"/>
    </font>
    <font>
      <b/>
      <sz val="10"/>
      <color indexed="10"/>
      <name val="08서울남산체 M"/>
      <family val="1"/>
      <charset val="129"/>
    </font>
    <font>
      <b/>
      <sz val="10"/>
      <name val="08서울남산체 M"/>
      <family val="1"/>
      <charset val="129"/>
    </font>
    <font>
      <sz val="10"/>
      <color indexed="8"/>
      <name val="08서울남산체 M"/>
      <family val="1"/>
      <charset val="129"/>
    </font>
    <font>
      <b/>
      <sz val="10"/>
      <color indexed="16"/>
      <name val="08서울남산체 M"/>
      <family val="1"/>
      <charset val="129"/>
    </font>
    <font>
      <b/>
      <sz val="10"/>
      <color indexed="8"/>
      <name val="08서울남산체 M"/>
      <family val="1"/>
      <charset val="129"/>
    </font>
    <font>
      <b/>
      <sz val="10"/>
      <color theme="5" tint="-0.499984740745262"/>
      <name val="굴림체"/>
      <family val="3"/>
      <charset val="129"/>
    </font>
    <font>
      <sz val="11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rgb="FF0066FF"/>
      <name val="굴림체"/>
      <family val="3"/>
      <charset val="129"/>
    </font>
    <font>
      <b/>
      <sz val="10"/>
      <color rgb="FF0099FF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0" fontId="11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2" fillId="0" borderId="0"/>
    <xf numFmtId="0" fontId="7" fillId="0" borderId="0"/>
    <xf numFmtId="0" fontId="14" fillId="0" borderId="0"/>
    <xf numFmtId="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5" fillId="2" borderId="3" applyNumberFormat="0" applyBorder="0" applyAlignment="0" applyProtection="0"/>
    <xf numFmtId="0" fontId="18" fillId="0" borderId="4"/>
    <xf numFmtId="194" fontId="13" fillId="0" borderId="0"/>
    <xf numFmtId="0" fontId="7" fillId="0" borderId="0"/>
    <xf numFmtId="10" fontId="7" fillId="0" borderId="0" applyFont="0" applyFill="0" applyBorder="0" applyAlignment="0" applyProtection="0"/>
    <xf numFmtId="0" fontId="18" fillId="0" borderId="0"/>
    <xf numFmtId="0" fontId="32" fillId="0" borderId="0"/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4" borderId="5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" fillId="25" borderId="59" applyNumberFormat="0" applyFont="0" applyAlignment="0" applyProtection="0">
      <alignment vertical="center"/>
    </xf>
    <xf numFmtId="9" fontId="32" fillId="0" borderId="0" applyFont="0" applyFill="0" applyBorder="0" applyAlignment="0" applyProtection="0"/>
    <xf numFmtId="0" fontId="3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7" borderId="60" applyNumberForma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1" fillId="0" borderId="61" applyNumberFormat="0" applyFill="0" applyAlignment="0" applyProtection="0">
      <alignment vertical="center"/>
    </xf>
    <xf numFmtId="0" fontId="42" fillId="0" borderId="62" applyNumberFormat="0" applyFill="0" applyAlignment="0" applyProtection="0">
      <alignment vertical="center"/>
    </xf>
    <xf numFmtId="0" fontId="43" fillId="11" borderId="5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63" applyNumberFormat="0" applyFill="0" applyAlignment="0" applyProtection="0">
      <alignment vertical="center"/>
    </xf>
    <xf numFmtId="0" fontId="46" fillId="0" borderId="64" applyNumberFormat="0" applyFill="0" applyAlignment="0" applyProtection="0">
      <alignment vertical="center"/>
    </xf>
    <xf numFmtId="0" fontId="47" fillId="0" borderId="6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24" borderId="66" applyNumberFormat="0" applyAlignment="0" applyProtection="0">
      <alignment vertical="center"/>
    </xf>
    <xf numFmtId="0" fontId="32" fillId="0" borderId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9" fontId="5" fillId="0" borderId="0" xfId="1" applyFont="1" applyBorder="1"/>
    <xf numFmtId="3" fontId="9" fillId="0" borderId="8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178" fontId="19" fillId="0" borderId="40" xfId="1" applyNumberFormat="1" applyFont="1" applyFill="1" applyBorder="1" applyAlignment="1">
      <alignment horizontal="center" vertical="center"/>
    </xf>
    <xf numFmtId="10" fontId="19" fillId="0" borderId="41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10" fontId="5" fillId="0" borderId="0" xfId="1" applyNumberFormat="1" applyFont="1" applyAlignment="1">
      <alignment vertical="center"/>
    </xf>
    <xf numFmtId="10" fontId="10" fillId="0" borderId="15" xfId="1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0" fontId="10" fillId="0" borderId="47" xfId="1" applyNumberFormat="1" applyFont="1" applyFill="1" applyBorder="1" applyAlignment="1">
      <alignment horizontal="center" vertical="center"/>
    </xf>
    <xf numFmtId="10" fontId="10" fillId="4" borderId="35" xfId="1" applyNumberFormat="1" applyFont="1" applyFill="1" applyBorder="1" applyAlignment="1">
      <alignment horizontal="center" vertical="center"/>
    </xf>
    <xf numFmtId="3" fontId="8" fillId="3" borderId="24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178" fontId="26" fillId="2" borderId="29" xfId="1" applyNumberFormat="1" applyFont="1" applyFill="1" applyBorder="1" applyAlignment="1">
      <alignment horizontal="center" vertical="center"/>
    </xf>
    <xf numFmtId="10" fontId="27" fillId="0" borderId="31" xfId="2" applyNumberFormat="1" applyFont="1" applyBorder="1" applyAlignment="1">
      <alignment vertical="center"/>
    </xf>
    <xf numFmtId="41" fontId="27" fillId="0" borderId="32" xfId="0" applyNumberFormat="1" applyFont="1" applyFill="1" applyBorder="1" applyAlignment="1">
      <alignment vertical="center"/>
    </xf>
    <xf numFmtId="41" fontId="27" fillId="0" borderId="21" xfId="0" applyNumberFormat="1" applyFont="1" applyFill="1" applyBorder="1" applyAlignment="1">
      <alignment vertical="center"/>
    </xf>
    <xf numFmtId="41" fontId="28" fillId="0" borderId="45" xfId="2" applyFont="1" applyBorder="1" applyAlignment="1">
      <alignment horizontal="center" vertical="center"/>
    </xf>
    <xf numFmtId="41" fontId="29" fillId="0" borderId="23" xfId="2" applyFont="1" applyBorder="1" applyAlignment="1">
      <alignment horizontal="center" vertical="center"/>
    </xf>
    <xf numFmtId="41" fontId="29" fillId="0" borderId="13" xfId="2" applyFont="1" applyBorder="1" applyAlignment="1">
      <alignment horizontal="center" vertical="center"/>
    </xf>
    <xf numFmtId="41" fontId="30" fillId="0" borderId="10" xfId="2" applyFont="1" applyBorder="1" applyAlignment="1">
      <alignment horizontal="center" vertical="center"/>
    </xf>
    <xf numFmtId="41" fontId="29" fillId="0" borderId="32" xfId="2" applyFont="1" applyBorder="1" applyAlignment="1">
      <alignment horizontal="center" vertical="center"/>
    </xf>
    <xf numFmtId="41" fontId="30" fillId="0" borderId="45" xfId="2" applyFont="1" applyBorder="1" applyAlignment="1">
      <alignment horizontal="center" vertical="center"/>
    </xf>
    <xf numFmtId="41" fontId="29" fillId="0" borderId="45" xfId="2" applyFont="1" applyBorder="1" applyAlignment="1">
      <alignment horizontal="center" vertical="center"/>
    </xf>
    <xf numFmtId="0" fontId="4" fillId="0" borderId="0" xfId="0" applyFont="1"/>
    <xf numFmtId="41" fontId="28" fillId="0" borderId="14" xfId="2" applyFont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3" fontId="31" fillId="0" borderId="8" xfId="0" applyNumberFormat="1" applyFont="1" applyFill="1" applyBorder="1" applyAlignment="1">
      <alignment horizontal="center" vertical="center"/>
    </xf>
    <xf numFmtId="3" fontId="50" fillId="0" borderId="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51" fillId="2" borderId="18" xfId="0" applyNumberFormat="1" applyFont="1" applyFill="1" applyBorder="1" applyAlignment="1">
      <alignment horizontal="center" vertical="center"/>
    </xf>
    <xf numFmtId="3" fontId="51" fillId="0" borderId="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41" fontId="29" fillId="0" borderId="13" xfId="2" applyFont="1" applyFill="1" applyBorder="1" applyAlignment="1">
      <alignment horizontal="center" vertical="center"/>
    </xf>
    <xf numFmtId="3" fontId="50" fillId="0" borderId="24" xfId="0" applyNumberFormat="1" applyFont="1" applyFill="1" applyBorder="1" applyAlignment="1">
      <alignment horizontal="center" vertical="center"/>
    </xf>
    <xf numFmtId="3" fontId="52" fillId="0" borderId="8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2" borderId="5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</cellXfs>
  <cellStyles count="75"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40% - 강조색1 2" xfId="36"/>
    <cellStyle name="40% - 강조색2 2" xfId="37"/>
    <cellStyle name="40% - 강조색3 2" xfId="38"/>
    <cellStyle name="40% - 강조색4 2" xfId="39"/>
    <cellStyle name="40% - 강조색5 2" xfId="40"/>
    <cellStyle name="40% - 강조색6 2" xfId="41"/>
    <cellStyle name="60% - 강조색1 2" xfId="42"/>
    <cellStyle name="60% - 강조색2 2" xfId="43"/>
    <cellStyle name="60% - 강조색3 2" xfId="44"/>
    <cellStyle name="60% - 강조색4 2" xfId="45"/>
    <cellStyle name="60% - 강조색5 2" xfId="46"/>
    <cellStyle name="60% - 강조색6 2" xfId="47"/>
    <cellStyle name="AeE­ [0]_PERSONAL" xfId="10"/>
    <cellStyle name="AeE­_PERSONAL" xfId="11"/>
    <cellStyle name="ALIGNMENT" xfId="12"/>
    <cellStyle name="C￥AØ_PERSONAL" xfId="13"/>
    <cellStyle name="category" xfId="14"/>
    <cellStyle name="Comma [0]_ SG&amp;A Bridge " xfId="15"/>
    <cellStyle name="Comma_ SG&amp;A Bridge " xfId="16"/>
    <cellStyle name="Currency [0]_ SG&amp;A Bridge " xfId="17"/>
    <cellStyle name="Currency_ SG&amp;A Bridge " xfId="18"/>
    <cellStyle name="Grey" xfId="19"/>
    <cellStyle name="HEADER" xfId="20"/>
    <cellStyle name="Header1" xfId="21"/>
    <cellStyle name="Header2" xfId="22"/>
    <cellStyle name="Input [yellow]" xfId="23"/>
    <cellStyle name="Model" xfId="24"/>
    <cellStyle name="Normal - Style1" xfId="25"/>
    <cellStyle name="Normal_ SG&amp;A Bridge " xfId="26"/>
    <cellStyle name="Percent [2]" xfId="27"/>
    <cellStyle name="subhead" xfId="28"/>
    <cellStyle name="강조색1 2" xfId="48"/>
    <cellStyle name="강조색2 2" xfId="49"/>
    <cellStyle name="강조색3 2" xfId="50"/>
    <cellStyle name="강조색4 2" xfId="51"/>
    <cellStyle name="강조색5 2" xfId="52"/>
    <cellStyle name="강조색6 2" xfId="53"/>
    <cellStyle name="경고문 2" xfId="54"/>
    <cellStyle name="계산 2" xfId="55"/>
    <cellStyle name="나쁨 2" xfId="56"/>
    <cellStyle name="메모 2" xfId="57"/>
    <cellStyle name="백분율" xfId="1" builtinId="5"/>
    <cellStyle name="백분율 2" xfId="58"/>
    <cellStyle name="보통 2" xfId="59"/>
    <cellStyle name="설명 텍스트 2" xfId="60"/>
    <cellStyle name="셀 확인 2" xfId="61"/>
    <cellStyle name="쉼표 [0]" xfId="2" builtinId="6"/>
    <cellStyle name="쉼표 [0] 2" xfId="63"/>
    <cellStyle name="쉼표 [0] 3" xfId="62"/>
    <cellStyle name="스타일 1" xfId="3"/>
    <cellStyle name="연결된 셀 2" xfId="64"/>
    <cellStyle name="요약 2" xfId="65"/>
    <cellStyle name="입력 2" xfId="66"/>
    <cellStyle name="제목 1 2" xfId="68"/>
    <cellStyle name="제목 2 2" xfId="69"/>
    <cellStyle name="제목 3 2" xfId="70"/>
    <cellStyle name="제목 4 2" xfId="71"/>
    <cellStyle name="제목 5" xfId="67"/>
    <cellStyle name="좋음 2" xfId="72"/>
    <cellStyle name="출력 2" xfId="73"/>
    <cellStyle name="콤마 [0]_ 대    형 " xfId="4"/>
    <cellStyle name="콤마[ ]" xfId="5"/>
    <cellStyle name="콤마[*]" xfId="6"/>
    <cellStyle name="콤마[.]" xfId="7"/>
    <cellStyle name="콤마[0]" xfId="8"/>
    <cellStyle name="콤마_ 대    형 " xfId="9"/>
    <cellStyle name="표준" xfId="0" builtinId="0"/>
    <cellStyle name="표준 2" xfId="74"/>
    <cellStyle name="표준 3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C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0033CC"/>
      <color rgb="FFFF66FF"/>
      <color rgb="FF0066FF"/>
      <color rgb="FF008000"/>
      <color rgb="FF3399FF"/>
      <color rgb="FFFFFF99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2019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</a:t>
          </a:r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11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월  유수율 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" zoomScaleNormal="100" workbookViewId="0">
      <pane ySplit="540" activePane="bottomLeft"/>
      <selection activeCell="M3" sqref="M1:R1048576"/>
      <selection pane="bottomLeft" activeCell="H5" sqref="H5"/>
    </sheetView>
  </sheetViews>
  <sheetFormatPr defaultRowHeight="12.75"/>
  <cols>
    <col min="1" max="1" width="4.6640625" style="1" customWidth="1"/>
    <col min="2" max="2" width="6.44140625" style="1" customWidth="1"/>
    <col min="3" max="3" width="13.5546875" style="1" customWidth="1"/>
    <col min="4" max="11" width="11.109375" style="1" customWidth="1"/>
    <col min="12" max="12" width="8.77734375" style="1" customWidth="1"/>
    <col min="13" max="16384" width="8.88671875" style="1"/>
  </cols>
  <sheetData>
    <row r="1" spans="1:12" s="4" customFormat="1" ht="24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2.95" customHeight="1" thickBot="1">
      <c r="A2" s="5"/>
      <c r="B2" s="5"/>
      <c r="C2" s="9"/>
      <c r="D2" s="5"/>
      <c r="E2" s="5"/>
      <c r="F2" s="5"/>
      <c r="G2" s="5"/>
      <c r="H2" s="5"/>
      <c r="I2" s="5"/>
      <c r="J2" s="5"/>
      <c r="L2" s="6" t="s">
        <v>7</v>
      </c>
    </row>
    <row r="3" spans="1:12" ht="13.5" customHeight="1">
      <c r="A3" s="35" t="s">
        <v>8</v>
      </c>
      <c r="B3" s="36" t="s">
        <v>6</v>
      </c>
      <c r="C3" s="32" t="s">
        <v>1</v>
      </c>
      <c r="D3" s="33" t="s">
        <v>9</v>
      </c>
      <c r="E3" s="33" t="s">
        <v>10</v>
      </c>
      <c r="F3" s="33" t="s">
        <v>11</v>
      </c>
      <c r="G3" s="34" t="s">
        <v>12</v>
      </c>
      <c r="H3" s="33" t="s">
        <v>13</v>
      </c>
      <c r="I3" s="33" t="s">
        <v>4</v>
      </c>
      <c r="J3" s="33" t="s">
        <v>5</v>
      </c>
      <c r="K3" s="34" t="s">
        <v>14</v>
      </c>
      <c r="L3" s="51"/>
    </row>
    <row r="4" spans="1:12" ht="11.25" customHeight="1">
      <c r="A4" s="82" t="s">
        <v>27</v>
      </c>
      <c r="B4" s="83"/>
      <c r="C4" s="14">
        <v>0.95699999999999996</v>
      </c>
      <c r="D4" s="15">
        <v>0.90959999999999996</v>
      </c>
      <c r="E4" s="15">
        <v>0.97970000000000002</v>
      </c>
      <c r="F4" s="15">
        <v>0.97430000000000005</v>
      </c>
      <c r="G4" s="15">
        <v>0.95499999999999996</v>
      </c>
      <c r="H4" s="15">
        <v>0.94630000000000003</v>
      </c>
      <c r="I4" s="15">
        <v>0.94799999999999995</v>
      </c>
      <c r="J4" s="15">
        <v>0.97550000000000003</v>
      </c>
      <c r="K4" s="15">
        <v>0.97799999999999998</v>
      </c>
      <c r="L4" s="52"/>
    </row>
    <row r="5" spans="1:12" ht="12" customHeight="1">
      <c r="A5" s="77" t="s">
        <v>1</v>
      </c>
      <c r="B5" s="37" t="s">
        <v>0</v>
      </c>
      <c r="C5" s="27">
        <f t="shared" ref="C5:K5" si="0">C7/C6</f>
        <v>0.95901298026969228</v>
      </c>
      <c r="D5" s="27">
        <f t="shared" si="0"/>
        <v>0.89826969373123122</v>
      </c>
      <c r="E5" s="27">
        <f t="shared" si="0"/>
        <v>0.99447215366022934</v>
      </c>
      <c r="F5" s="27">
        <f t="shared" si="0"/>
        <v>0.97440186122615802</v>
      </c>
      <c r="G5" s="27">
        <f t="shared" si="0"/>
        <v>0.9555261638582293</v>
      </c>
      <c r="H5" s="27">
        <f t="shared" si="0"/>
        <v>0.94320461598643535</v>
      </c>
      <c r="I5" s="27">
        <f t="shared" si="0"/>
        <v>0.95769775899497089</v>
      </c>
      <c r="J5" s="27">
        <f t="shared" si="0"/>
        <v>0.98544636627996895</v>
      </c>
      <c r="K5" s="27">
        <f t="shared" si="0"/>
        <v>0.96843465944025808</v>
      </c>
      <c r="L5" s="53"/>
    </row>
    <row r="6" spans="1:12" ht="12" customHeight="1">
      <c r="A6" s="77"/>
      <c r="B6" s="38" t="s">
        <v>2</v>
      </c>
      <c r="C6" s="28">
        <f>SUM(D6:K6)</f>
        <v>1061810912</v>
      </c>
      <c r="D6" s="29">
        <f>SUM(D8,D11,D14,D17,D20,D23,D26,D29,D32,D35,D38,D41)</f>
        <v>134607326</v>
      </c>
      <c r="E6" s="29">
        <f t="shared" ref="E6:K7" si="1">SUM(E8,E11,E14,E17,E20,E23,E26,E29,E32,E35,E38,E41)</f>
        <v>113037603</v>
      </c>
      <c r="F6" s="29">
        <f t="shared" si="1"/>
        <v>166647991</v>
      </c>
      <c r="G6" s="29">
        <f t="shared" si="1"/>
        <v>104841399</v>
      </c>
      <c r="H6" s="29">
        <f t="shared" si="1"/>
        <v>140555699</v>
      </c>
      <c r="I6" s="29">
        <f t="shared" si="1"/>
        <v>159438955</v>
      </c>
      <c r="J6" s="29">
        <f t="shared" si="1"/>
        <v>124296161</v>
      </c>
      <c r="K6" s="29">
        <f t="shared" si="1"/>
        <v>118385778</v>
      </c>
      <c r="L6" s="54"/>
    </row>
    <row r="7" spans="1:12" ht="12" customHeight="1" thickBot="1">
      <c r="A7" s="84"/>
      <c r="B7" s="39" t="s">
        <v>3</v>
      </c>
      <c r="C7" s="30">
        <f>SUM(D7:K7)</f>
        <v>1018290447.1999999</v>
      </c>
      <c r="D7" s="31">
        <f>SUM(D9,D12,D15,D18,D21,D24,D27,D30,D33,D36,D39,D42)</f>
        <v>120913681.5</v>
      </c>
      <c r="E7" s="31">
        <f t="shared" si="1"/>
        <v>112412748.5</v>
      </c>
      <c r="F7" s="31">
        <f t="shared" si="1"/>
        <v>162382112.60000002</v>
      </c>
      <c r="G7" s="31">
        <f t="shared" si="1"/>
        <v>100178699.8</v>
      </c>
      <c r="H7" s="31">
        <f t="shared" si="1"/>
        <v>132572784.09999999</v>
      </c>
      <c r="I7" s="31">
        <f t="shared" si="1"/>
        <v>152694329.90000001</v>
      </c>
      <c r="J7" s="31">
        <f t="shared" si="1"/>
        <v>122487200.19999999</v>
      </c>
      <c r="K7" s="31">
        <f t="shared" si="1"/>
        <v>114648890.59999999</v>
      </c>
      <c r="L7" s="55"/>
    </row>
    <row r="8" spans="1:12" ht="12" customHeight="1" thickTop="1">
      <c r="A8" s="85" t="s">
        <v>15</v>
      </c>
      <c r="B8" s="40" t="s">
        <v>2</v>
      </c>
      <c r="C8" s="20">
        <f>IF(D8="","",SUM(D8:K8))</f>
        <v>95654162</v>
      </c>
      <c r="D8" s="21">
        <v>11941427</v>
      </c>
      <c r="E8" s="22">
        <v>10189761</v>
      </c>
      <c r="F8" s="22">
        <f>12521727+2587147</f>
        <v>15108874</v>
      </c>
      <c r="G8" s="22">
        <v>9426685</v>
      </c>
      <c r="H8" s="23">
        <v>12587431</v>
      </c>
      <c r="I8" s="22">
        <v>14533226</v>
      </c>
      <c r="J8" s="23">
        <v>11338394</v>
      </c>
      <c r="K8" s="24">
        <f>9903988+624376</f>
        <v>10528364</v>
      </c>
      <c r="L8" s="60"/>
    </row>
    <row r="9" spans="1:12" ht="12" customHeight="1">
      <c r="A9" s="77"/>
      <c r="B9" s="41" t="s">
        <v>3</v>
      </c>
      <c r="C9" s="12">
        <f>IF(D9="","",SUM(D9:K9))</f>
        <v>86922492.200000003</v>
      </c>
      <c r="D9" s="71">
        <v>9646704.5999999996</v>
      </c>
      <c r="E9" s="71">
        <v>10311797.800000001</v>
      </c>
      <c r="F9" s="71">
        <f>13634932.7-2421440+2587147</f>
        <v>13800639.699999999</v>
      </c>
      <c r="G9" s="10">
        <v>8764331.5999999996</v>
      </c>
      <c r="H9" s="71">
        <f>11414465.8-370-111764</f>
        <v>11302331.800000001</v>
      </c>
      <c r="I9" s="71">
        <f>13242826.3-43869-262202+1150</f>
        <v>12937905.300000001</v>
      </c>
      <c r="J9" s="71">
        <v>9976160.4000000004</v>
      </c>
      <c r="K9" s="70">
        <v>10182621</v>
      </c>
      <c r="L9" s="58" t="s">
        <v>28</v>
      </c>
    </row>
    <row r="10" spans="1:12" ht="12" customHeight="1">
      <c r="A10" s="77"/>
      <c r="B10" s="43" t="s">
        <v>0</v>
      </c>
      <c r="C10" s="26">
        <f>IF(C9="","",C9/C8)</f>
        <v>0.90871625847289328</v>
      </c>
      <c r="D10" s="50">
        <f t="shared" ref="D10:K10" si="2">IF(D8="","",D9/D8)</f>
        <v>0.8078351607391645</v>
      </c>
      <c r="E10" s="50">
        <f t="shared" si="2"/>
        <v>1.0119764143633987</v>
      </c>
      <c r="F10" s="50">
        <f t="shared" si="2"/>
        <v>0.91341285260569383</v>
      </c>
      <c r="G10" s="50">
        <f t="shared" si="2"/>
        <v>0.92973633891447516</v>
      </c>
      <c r="H10" s="50">
        <f t="shared" si="2"/>
        <v>0.89790615734060431</v>
      </c>
      <c r="I10" s="50">
        <f t="shared" si="2"/>
        <v>0.89022941637321273</v>
      </c>
      <c r="J10" s="50">
        <f t="shared" si="2"/>
        <v>0.87985656522431666</v>
      </c>
      <c r="K10" s="50">
        <f t="shared" si="2"/>
        <v>0.96716080485059219</v>
      </c>
      <c r="L10" s="56"/>
    </row>
    <row r="11" spans="1:12" ht="12" customHeight="1">
      <c r="A11" s="76" t="s">
        <v>16</v>
      </c>
      <c r="B11" s="44" t="s">
        <v>2</v>
      </c>
      <c r="C11" s="45">
        <f>IF(D11="","",SUM(D11:K11))</f>
        <v>84408362</v>
      </c>
      <c r="D11" s="12">
        <v>10437764</v>
      </c>
      <c r="E11" s="13">
        <v>9043189</v>
      </c>
      <c r="F11" s="13">
        <f>11074670+2321440</f>
        <v>13396110</v>
      </c>
      <c r="G11" s="13">
        <v>8474930</v>
      </c>
      <c r="H11" s="10">
        <v>11236174</v>
      </c>
      <c r="I11" s="13">
        <v>12676337</v>
      </c>
      <c r="J11" s="10">
        <v>9848035</v>
      </c>
      <c r="K11" s="11">
        <f>8767476+528347</f>
        <v>9295823</v>
      </c>
      <c r="L11" s="57"/>
    </row>
    <row r="12" spans="1:12" ht="12" customHeight="1">
      <c r="A12" s="77"/>
      <c r="B12" s="41" t="s">
        <v>3</v>
      </c>
      <c r="C12" s="12">
        <f>IF(D12="","",SUM(D12:K12))</f>
        <v>86833450.5</v>
      </c>
      <c r="D12" s="13">
        <v>10515501.300000001</v>
      </c>
      <c r="E12" s="13">
        <v>8919596.5999999996</v>
      </c>
      <c r="F12" s="13">
        <f>14313971.7-2610675+2321440</f>
        <v>14024736.699999999</v>
      </c>
      <c r="G12" s="10">
        <v>8667512.4000000004</v>
      </c>
      <c r="H12" s="10">
        <f>11466252.1-52-118523</f>
        <v>11347677.1</v>
      </c>
      <c r="I12" s="13">
        <f>13396355.9-46130-277959+1150</f>
        <v>13073416.9</v>
      </c>
      <c r="J12" s="10">
        <v>10757099.6</v>
      </c>
      <c r="K12" s="11">
        <v>9527909.9000000004</v>
      </c>
      <c r="L12" s="58" t="s">
        <v>29</v>
      </c>
    </row>
    <row r="13" spans="1:12" ht="12" customHeight="1">
      <c r="A13" s="78"/>
      <c r="B13" s="49" t="s">
        <v>0</v>
      </c>
      <c r="C13" s="50">
        <f>IF(C12="","",C12/C11)</f>
        <v>1.028730429575212</v>
      </c>
      <c r="D13" s="50">
        <f t="shared" ref="D13:K13" si="3">IF(D11="","",D12/D11)</f>
        <v>1.0074476966522716</v>
      </c>
      <c r="E13" s="50">
        <f t="shared" si="3"/>
        <v>0.98633309554848403</v>
      </c>
      <c r="F13" s="50">
        <f t="shared" si="3"/>
        <v>1.0469260628645181</v>
      </c>
      <c r="G13" s="50">
        <f t="shared" si="3"/>
        <v>1.0227237747096436</v>
      </c>
      <c r="H13" s="50">
        <f t="shared" si="3"/>
        <v>1.0099235825290709</v>
      </c>
      <c r="I13" s="50">
        <f t="shared" si="3"/>
        <v>1.0313244985519081</v>
      </c>
      <c r="J13" s="50">
        <f t="shared" si="3"/>
        <v>1.0923092373250094</v>
      </c>
      <c r="K13" s="50">
        <f t="shared" si="3"/>
        <v>1.0249667942257508</v>
      </c>
      <c r="L13" s="59"/>
    </row>
    <row r="14" spans="1:12" ht="12" customHeight="1">
      <c r="A14" s="77" t="s">
        <v>17</v>
      </c>
      <c r="B14" s="38" t="s">
        <v>2</v>
      </c>
      <c r="C14" s="19">
        <f>IF(D14="","",SUM(D14:K14))</f>
        <v>95174702</v>
      </c>
      <c r="D14" s="13">
        <v>11897108</v>
      </c>
      <c r="E14" s="13">
        <v>10148485</v>
      </c>
      <c r="F14" s="66">
        <f>12457267+2610675</f>
        <v>15067942</v>
      </c>
      <c r="G14" s="66">
        <v>9441770</v>
      </c>
      <c r="H14" s="13">
        <v>12595881</v>
      </c>
      <c r="I14" s="13">
        <v>14352390</v>
      </c>
      <c r="J14" s="10">
        <v>11124343</v>
      </c>
      <c r="K14" s="11">
        <f>9907236+639547</f>
        <v>10546783</v>
      </c>
      <c r="L14" s="57"/>
    </row>
    <row r="15" spans="1:12" ht="12" customHeight="1">
      <c r="A15" s="77"/>
      <c r="B15" s="41" t="s">
        <v>3</v>
      </c>
      <c r="C15" s="12">
        <f>IF(D15="","",SUM(D15:K15))</f>
        <v>87395081.299999997</v>
      </c>
      <c r="D15" s="13">
        <v>10032044.199999999</v>
      </c>
      <c r="E15" s="13">
        <v>10168742.4</v>
      </c>
      <c r="F15" s="13">
        <f>13790512.2-2527295+2610675</f>
        <v>13873892.199999999</v>
      </c>
      <c r="G15" s="10">
        <v>8748939.5</v>
      </c>
      <c r="H15" s="13">
        <f>11593662.3-54-133537</f>
        <v>11460071.300000001</v>
      </c>
      <c r="I15" s="13">
        <f>13372980.7-44182-313375+1419</f>
        <v>13016842.699999999</v>
      </c>
      <c r="J15" s="10">
        <v>10145508.9</v>
      </c>
      <c r="K15" s="11">
        <v>9949040.0999999996</v>
      </c>
      <c r="L15" s="58" t="s">
        <v>30</v>
      </c>
    </row>
    <row r="16" spans="1:12" ht="12" customHeight="1">
      <c r="A16" s="77"/>
      <c r="B16" s="43" t="s">
        <v>0</v>
      </c>
      <c r="C16" s="18">
        <f>IF(C15="","",C15/C14)</f>
        <v>0.91825957385188339</v>
      </c>
      <c r="D16" s="18">
        <f t="shared" ref="D16:K16" si="4">IF(D14="","",D15/D14)</f>
        <v>0.84323385145364738</v>
      </c>
      <c r="E16" s="18">
        <f t="shared" si="4"/>
        <v>1.001996100895848</v>
      </c>
      <c r="F16" s="18">
        <f t="shared" si="4"/>
        <v>0.9207556148012781</v>
      </c>
      <c r="G16" s="18">
        <f t="shared" si="4"/>
        <v>0.92662069717860107</v>
      </c>
      <c r="H16" s="18">
        <f t="shared" si="4"/>
        <v>0.90982689499845237</v>
      </c>
      <c r="I16" s="18">
        <f t="shared" si="4"/>
        <v>0.90694599993450564</v>
      </c>
      <c r="J16" s="18">
        <f t="shared" si="4"/>
        <v>0.91200971598951963</v>
      </c>
      <c r="K16" s="18">
        <f t="shared" si="4"/>
        <v>0.94332462325241728</v>
      </c>
      <c r="L16" s="61"/>
    </row>
    <row r="17" spans="1:12" ht="12" customHeight="1">
      <c r="A17" s="76" t="s">
        <v>18</v>
      </c>
      <c r="B17" s="44" t="s">
        <v>2</v>
      </c>
      <c r="C17" s="45">
        <f>IF(D17="","",SUM(D17:K17))</f>
        <v>93579734</v>
      </c>
      <c r="D17" s="46">
        <v>11828923</v>
      </c>
      <c r="E17" s="46">
        <v>9950942</v>
      </c>
      <c r="F17" s="46">
        <f>12213910+2527295</f>
        <v>14741205</v>
      </c>
      <c r="G17" s="46">
        <v>9253288</v>
      </c>
      <c r="H17" s="46">
        <v>12366558</v>
      </c>
      <c r="I17" s="46">
        <v>14062657</v>
      </c>
      <c r="J17" s="46">
        <v>11012144</v>
      </c>
      <c r="K17" s="46">
        <f>9728326+635691</f>
        <v>10364017</v>
      </c>
      <c r="L17" s="57"/>
    </row>
    <row r="18" spans="1:12" ht="12" customHeight="1">
      <c r="A18" s="77"/>
      <c r="B18" s="41" t="s">
        <v>3</v>
      </c>
      <c r="C18" s="12">
        <f>IF(D18="","",SUM(D18:K18))</f>
        <v>92926328.700000003</v>
      </c>
      <c r="D18" s="12">
        <v>11532160.800000001</v>
      </c>
      <c r="E18" s="12">
        <v>9539088.3000000007</v>
      </c>
      <c r="F18" s="12">
        <f>15269233.8-2737573+2509295</f>
        <v>15040955.800000001</v>
      </c>
      <c r="G18" s="12">
        <v>9055699</v>
      </c>
      <c r="H18" s="12">
        <f>12061533.3-51-109895</f>
        <v>11951587.300000001</v>
      </c>
      <c r="I18" s="12">
        <f>14323498.6-47-597-258555+1407</f>
        <v>14065706.6</v>
      </c>
      <c r="J18" s="12">
        <v>11503002.199999999</v>
      </c>
      <c r="K18" s="12">
        <v>10238128.699999999</v>
      </c>
      <c r="L18" s="58" t="s">
        <v>31</v>
      </c>
    </row>
    <row r="19" spans="1:12" ht="12" customHeight="1">
      <c r="A19" s="78"/>
      <c r="B19" s="49" t="s">
        <v>0</v>
      </c>
      <c r="C19" s="50">
        <f>IF(C18="","",C18/C17)</f>
        <v>0.99301766234984168</v>
      </c>
      <c r="D19" s="50">
        <f t="shared" ref="D19:K19" si="5">IF(D17="","",D18/D17)</f>
        <v>0.97491215387909791</v>
      </c>
      <c r="E19" s="50">
        <f t="shared" si="5"/>
        <v>0.95861158672214153</v>
      </c>
      <c r="F19" s="50">
        <f t="shared" si="5"/>
        <v>1.0203342128408093</v>
      </c>
      <c r="G19" s="50">
        <f t="shared" si="5"/>
        <v>0.97864661728890312</v>
      </c>
      <c r="H19" s="50">
        <f t="shared" si="5"/>
        <v>0.9664441229321854</v>
      </c>
      <c r="I19" s="50">
        <f t="shared" si="5"/>
        <v>1.000216858023345</v>
      </c>
      <c r="J19" s="50">
        <f t="shared" si="5"/>
        <v>1.0445742627412065</v>
      </c>
      <c r="K19" s="50">
        <f t="shared" si="5"/>
        <v>0.98785332945710136</v>
      </c>
      <c r="L19" s="59"/>
    </row>
    <row r="20" spans="1:12" ht="12" customHeight="1">
      <c r="A20" s="77" t="s">
        <v>19</v>
      </c>
      <c r="B20" s="38" t="s">
        <v>2</v>
      </c>
      <c r="C20" s="19">
        <f>IF(D20="","",SUM(D20:K20))</f>
        <v>99609898</v>
      </c>
      <c r="D20" s="13">
        <v>12758132</v>
      </c>
      <c r="E20" s="13">
        <v>10574192</v>
      </c>
      <c r="F20" s="13">
        <f>12876917+2737573</f>
        <v>15614490</v>
      </c>
      <c r="G20" s="13">
        <v>9841910</v>
      </c>
      <c r="H20" s="13">
        <v>13192367</v>
      </c>
      <c r="I20" s="13">
        <v>14897687</v>
      </c>
      <c r="J20" s="13">
        <v>11671393</v>
      </c>
      <c r="K20" s="68">
        <f>10377661+682066</f>
        <v>11059727</v>
      </c>
      <c r="L20" s="57"/>
    </row>
    <row r="21" spans="1:12" ht="12" customHeight="1">
      <c r="A21" s="77"/>
      <c r="B21" s="41" t="s">
        <v>3</v>
      </c>
      <c r="C21" s="12">
        <f>IF(D21="","",SUM(D21:K21))</f>
        <v>95445103.300000012</v>
      </c>
      <c r="D21" s="12">
        <v>11006237</v>
      </c>
      <c r="E21" s="12">
        <v>11177452.1</v>
      </c>
      <c r="F21" s="12">
        <f>14921517.4-2687079+2737573</f>
        <v>14972011.4</v>
      </c>
      <c r="G21" s="12">
        <v>9424905.3000000007</v>
      </c>
      <c r="H21" s="12">
        <f>12639149.1-69-146540</f>
        <v>12492540.1</v>
      </c>
      <c r="I21" s="12">
        <f>14616953-61259-344783+1789</f>
        <v>14212700</v>
      </c>
      <c r="J21" s="12">
        <v>11200628.9</v>
      </c>
      <c r="K21" s="12">
        <v>10958628.5</v>
      </c>
      <c r="L21" s="58" t="s">
        <v>32</v>
      </c>
    </row>
    <row r="22" spans="1:12" ht="12" customHeight="1">
      <c r="A22" s="77"/>
      <c r="B22" s="43" t="s">
        <v>0</v>
      </c>
      <c r="C22" s="18">
        <f>IF(C21="","",C21/C20)</f>
        <v>0.95818894724698955</v>
      </c>
      <c r="D22" s="18">
        <f t="shared" ref="D22:K22" si="6">IF(D20="","",D21/D20)</f>
        <v>0.86268405123884906</v>
      </c>
      <c r="E22" s="18">
        <f t="shared" si="6"/>
        <v>1.0570502313557386</v>
      </c>
      <c r="F22" s="18">
        <f t="shared" si="6"/>
        <v>0.95885369294802458</v>
      </c>
      <c r="G22" s="18">
        <f t="shared" si="6"/>
        <v>0.95762969789400643</v>
      </c>
      <c r="H22" s="18">
        <f t="shared" si="6"/>
        <v>0.94695213527640643</v>
      </c>
      <c r="I22" s="18">
        <f t="shared" si="6"/>
        <v>0.95402058051024963</v>
      </c>
      <c r="J22" s="18">
        <f t="shared" si="6"/>
        <v>0.95966513165994838</v>
      </c>
      <c r="K22" s="18">
        <f t="shared" si="6"/>
        <v>0.99085886116357125</v>
      </c>
      <c r="L22" s="61"/>
    </row>
    <row r="23" spans="1:12" ht="12" customHeight="1">
      <c r="A23" s="76" t="s">
        <v>20</v>
      </c>
      <c r="B23" s="44" t="s">
        <v>2</v>
      </c>
      <c r="C23" s="45">
        <f>IF(D23="","",SUM(D23:K23))</f>
        <v>97736240</v>
      </c>
      <c r="D23" s="25">
        <v>12516721</v>
      </c>
      <c r="E23" s="25">
        <v>10323658</v>
      </c>
      <c r="F23" s="25">
        <f>12630957+2687079</f>
        <v>15318036</v>
      </c>
      <c r="G23" s="47">
        <v>9672656</v>
      </c>
      <c r="H23" s="25">
        <v>12977347</v>
      </c>
      <c r="I23" s="25">
        <v>14566056</v>
      </c>
      <c r="J23" s="47">
        <v>11457622</v>
      </c>
      <c r="K23" s="48">
        <f>10201910+702234</f>
        <v>10904144</v>
      </c>
      <c r="L23" s="57"/>
    </row>
    <row r="24" spans="1:12" ht="12" customHeight="1">
      <c r="A24" s="77"/>
      <c r="B24" s="41" t="s">
        <v>3</v>
      </c>
      <c r="C24" s="12">
        <f>IF(D24="","",SUM(D24:K24))</f>
        <v>99409191.600000009</v>
      </c>
      <c r="D24" s="13">
        <v>12459366.300000001</v>
      </c>
      <c r="E24" s="13">
        <v>10100179.5</v>
      </c>
      <c r="F24" s="13">
        <f>16059976.9-2828517+2687079</f>
        <v>15918538.9</v>
      </c>
      <c r="G24" s="13">
        <v>9595415.8000000007</v>
      </c>
      <c r="H24" s="13">
        <f>12925754.6-67-67929</f>
        <v>12857758.6</v>
      </c>
      <c r="I24" s="13">
        <f>15314153.4-68375-272118+2133</f>
        <v>14975793.4</v>
      </c>
      <c r="J24" s="13">
        <v>12475691.699999999</v>
      </c>
      <c r="K24" s="68">
        <v>11026447.4</v>
      </c>
      <c r="L24" s="58" t="s">
        <v>33</v>
      </c>
    </row>
    <row r="25" spans="1:12" ht="12" customHeight="1">
      <c r="A25" s="78"/>
      <c r="B25" s="49" t="s">
        <v>0</v>
      </c>
      <c r="C25" s="50">
        <f>IF(C24="","",C24/C23)</f>
        <v>1.0171170038871968</v>
      </c>
      <c r="D25" s="50">
        <f t="shared" ref="D25:K25" si="7">IF(D23="","",D24/D23)</f>
        <v>0.995417753579392</v>
      </c>
      <c r="E25" s="50">
        <f t="shared" si="7"/>
        <v>0.97835277960583356</v>
      </c>
      <c r="F25" s="50">
        <f t="shared" si="7"/>
        <v>1.0392023429113237</v>
      </c>
      <c r="G25" s="50">
        <f t="shared" si="7"/>
        <v>0.99201458213752258</v>
      </c>
      <c r="H25" s="50">
        <f t="shared" si="7"/>
        <v>0.99078483452742683</v>
      </c>
      <c r="I25" s="50">
        <f t="shared" si="7"/>
        <v>1.0281296048841224</v>
      </c>
      <c r="J25" s="50">
        <f t="shared" si="7"/>
        <v>1.0888552354057413</v>
      </c>
      <c r="K25" s="50">
        <f t="shared" si="7"/>
        <v>1.011216231186969</v>
      </c>
      <c r="L25" s="59"/>
    </row>
    <row r="26" spans="1:12" ht="12" customHeight="1">
      <c r="A26" s="77" t="s">
        <v>21</v>
      </c>
      <c r="B26" s="38" t="s">
        <v>2</v>
      </c>
      <c r="C26" s="19">
        <f>IF(D26="","",SUM(D26:K26))</f>
        <v>103741559</v>
      </c>
      <c r="D26" s="13">
        <v>13321371</v>
      </c>
      <c r="E26" s="13">
        <v>10878842</v>
      </c>
      <c r="F26" s="13">
        <f>13227373+2828517</f>
        <v>16055890</v>
      </c>
      <c r="G26" s="69">
        <v>10104541</v>
      </c>
      <c r="H26" s="13">
        <v>13717047</v>
      </c>
      <c r="I26" s="13">
        <v>15740949</v>
      </c>
      <c r="J26" s="13">
        <v>12290383</v>
      </c>
      <c r="K26" s="68">
        <f>10833900+798636</f>
        <v>11632536</v>
      </c>
      <c r="L26" s="57"/>
    </row>
    <row r="27" spans="1:12" ht="12" customHeight="1">
      <c r="A27" s="77"/>
      <c r="B27" s="41" t="s">
        <v>3</v>
      </c>
      <c r="C27" s="12">
        <f>IF(D27="","",SUM(D27:K27))</f>
        <v>97629939.400000006</v>
      </c>
      <c r="D27" s="13">
        <v>11307315.800000001</v>
      </c>
      <c r="E27" s="13">
        <v>11274526.699999999</v>
      </c>
      <c r="F27" s="13">
        <f>15202549.7-2828119+2828517</f>
        <v>15202947.699999999</v>
      </c>
      <c r="G27" s="13">
        <v>9418618</v>
      </c>
      <c r="H27" s="13">
        <f>12920178.1-85-114077</f>
        <v>12806016.1</v>
      </c>
      <c r="I27" s="13">
        <f>14824305.8-69473-158373+2857</f>
        <v>14599316.800000001</v>
      </c>
      <c r="J27" s="13">
        <v>11724646.300000001</v>
      </c>
      <c r="K27" s="67">
        <v>11296552</v>
      </c>
      <c r="L27" s="58" t="s">
        <v>34</v>
      </c>
    </row>
    <row r="28" spans="1:12" ht="12" customHeight="1">
      <c r="A28" s="77"/>
      <c r="B28" s="43" t="s">
        <v>0</v>
      </c>
      <c r="C28" s="18">
        <f>IF(C27="","",C27/C26)</f>
        <v>0.94108803011144271</v>
      </c>
      <c r="D28" s="18">
        <f t="shared" ref="D28:K28" si="8">IF(D26="","",D27/D26)</f>
        <v>0.84881021630581421</v>
      </c>
      <c r="E28" s="18">
        <f t="shared" si="8"/>
        <v>1.0363719502498518</v>
      </c>
      <c r="F28" s="18">
        <f t="shared" si="8"/>
        <v>0.94687667267276987</v>
      </c>
      <c r="G28" s="18">
        <f t="shared" si="8"/>
        <v>0.93211735199055556</v>
      </c>
      <c r="H28" s="18">
        <f t="shared" si="8"/>
        <v>0.9335840359809221</v>
      </c>
      <c r="I28" s="18">
        <f t="shared" si="8"/>
        <v>0.92747373744746908</v>
      </c>
      <c r="J28" s="18">
        <f t="shared" si="8"/>
        <v>0.95396915620937128</v>
      </c>
      <c r="K28" s="18">
        <f t="shared" si="8"/>
        <v>0.9711168742568258</v>
      </c>
      <c r="L28" s="62"/>
    </row>
    <row r="29" spans="1:12" ht="12" customHeight="1">
      <c r="A29" s="76" t="s">
        <v>22</v>
      </c>
      <c r="B29" s="44" t="s">
        <v>2</v>
      </c>
      <c r="C29" s="45">
        <f>IF(D29="","",SUM(D29:K29))</f>
        <v>103202245</v>
      </c>
      <c r="D29" s="46">
        <v>13287360</v>
      </c>
      <c r="E29" s="46">
        <v>10912936</v>
      </c>
      <c r="F29" s="46">
        <f>13126678+2828119</f>
        <v>15954797</v>
      </c>
      <c r="G29" s="46">
        <v>10030400</v>
      </c>
      <c r="H29" s="46">
        <v>13737930</v>
      </c>
      <c r="I29" s="46">
        <v>15445924</v>
      </c>
      <c r="J29" s="46">
        <v>12208471</v>
      </c>
      <c r="K29" s="46">
        <f>10811676+812751</f>
        <v>11624427</v>
      </c>
      <c r="L29" s="57"/>
    </row>
    <row r="30" spans="1:12" ht="12" customHeight="1">
      <c r="A30" s="77"/>
      <c r="B30" s="41" t="s">
        <v>3</v>
      </c>
      <c r="C30" s="12">
        <f>IF(D30="","",SUM(D30:K30))</f>
        <v>97774171.5</v>
      </c>
      <c r="D30" s="12">
        <v>12155812.5</v>
      </c>
      <c r="E30" s="12">
        <v>10036044.4</v>
      </c>
      <c r="F30" s="12">
        <v>15877489.4</v>
      </c>
      <c r="G30" s="12">
        <v>9495410</v>
      </c>
      <c r="H30" s="12">
        <f>12746619.2-60-98230</f>
        <v>12648329.199999999</v>
      </c>
      <c r="I30" s="12">
        <f>15079667.2-61043-231666+2463</f>
        <v>14789421.199999999</v>
      </c>
      <c r="J30" s="12">
        <v>12109193.800000001</v>
      </c>
      <c r="K30" s="74">
        <v>10662471</v>
      </c>
      <c r="L30" s="58" t="s">
        <v>35</v>
      </c>
    </row>
    <row r="31" spans="1:12" ht="12" customHeight="1">
      <c r="A31" s="78"/>
      <c r="B31" s="49" t="s">
        <v>0</v>
      </c>
      <c r="C31" s="50">
        <f>IF(C30="","",C30/C29)</f>
        <v>0.94740353274291655</v>
      </c>
      <c r="D31" s="50">
        <f t="shared" ref="D31:K31" si="9">IF(D29="","",D30/D29)</f>
        <v>0.91484030687811579</v>
      </c>
      <c r="E31" s="50">
        <f t="shared" si="9"/>
        <v>0.91964659189790909</v>
      </c>
      <c r="F31" s="50">
        <f t="shared" si="9"/>
        <v>0.99515458579635963</v>
      </c>
      <c r="G31" s="50">
        <f t="shared" si="9"/>
        <v>0.94666314404211194</v>
      </c>
      <c r="H31" s="50">
        <f t="shared" si="9"/>
        <v>0.92068668278263166</v>
      </c>
      <c r="I31" s="50">
        <f t="shared" si="9"/>
        <v>0.95749669621577826</v>
      </c>
      <c r="J31" s="50">
        <f t="shared" si="9"/>
        <v>0.9918681708790561</v>
      </c>
      <c r="K31" s="50">
        <f t="shared" si="9"/>
        <v>0.91724701785300899</v>
      </c>
      <c r="L31" s="59"/>
    </row>
    <row r="32" spans="1:12" ht="12" customHeight="1">
      <c r="A32" s="77" t="s">
        <v>23</v>
      </c>
      <c r="B32" s="38" t="s">
        <v>2</v>
      </c>
      <c r="C32" s="19">
        <f>IF(D32="","",SUM(D32:K32))</f>
        <v>96609433</v>
      </c>
      <c r="D32" s="13">
        <v>12258696</v>
      </c>
      <c r="E32" s="13">
        <v>10341492</v>
      </c>
      <c r="F32" s="13">
        <f>12499333+2669804</f>
        <v>15169137</v>
      </c>
      <c r="G32" s="10">
        <v>9609048</v>
      </c>
      <c r="H32" s="13">
        <v>12839229</v>
      </c>
      <c r="I32" s="13">
        <v>14426826</v>
      </c>
      <c r="J32" s="10">
        <v>11135181</v>
      </c>
      <c r="K32" s="11">
        <f>10114172+715652</f>
        <v>10829824</v>
      </c>
      <c r="L32" s="57"/>
    </row>
    <row r="33" spans="1:12" ht="12" customHeight="1">
      <c r="A33" s="77"/>
      <c r="B33" s="41" t="s">
        <v>3</v>
      </c>
      <c r="C33" s="12">
        <f>IF(D33="","",SUM(D33:K33))</f>
        <v>93697624.200000003</v>
      </c>
      <c r="D33" s="13">
        <v>10860178</v>
      </c>
      <c r="E33" s="13">
        <v>11075764.699999999</v>
      </c>
      <c r="F33" s="75">
        <f>14453182.8-2421145+2669804</f>
        <v>14701841.800000001</v>
      </c>
      <c r="G33" s="10">
        <v>9202901</v>
      </c>
      <c r="H33" s="67">
        <f>12226211.3-97</f>
        <v>12226114.300000001</v>
      </c>
      <c r="I33" s="13">
        <f>14374390-54027-281160+3022</f>
        <v>14042225</v>
      </c>
      <c r="J33" s="10">
        <v>10853459.4</v>
      </c>
      <c r="K33" s="70">
        <f>10654989+80151</f>
        <v>10735140</v>
      </c>
      <c r="L33" s="58" t="s">
        <v>37</v>
      </c>
    </row>
    <row r="34" spans="1:12" ht="12" customHeight="1">
      <c r="A34" s="77"/>
      <c r="B34" s="43" t="s">
        <v>0</v>
      </c>
      <c r="C34" s="18">
        <f>IF(C33="","",C33/C32)</f>
        <v>0.96985999493444919</v>
      </c>
      <c r="D34" s="18">
        <f t="shared" ref="D34:K34" si="10">IF(D32="","",D33/D32)</f>
        <v>0.8859162507986168</v>
      </c>
      <c r="E34" s="18">
        <f t="shared" si="10"/>
        <v>1.0710025884079395</v>
      </c>
      <c r="F34" s="18">
        <f t="shared" si="10"/>
        <v>0.96919434507052049</v>
      </c>
      <c r="G34" s="18">
        <f t="shared" si="10"/>
        <v>0.95773285761503113</v>
      </c>
      <c r="H34" s="18">
        <f t="shared" si="10"/>
        <v>0.95224676653091866</v>
      </c>
      <c r="I34" s="18">
        <f t="shared" si="10"/>
        <v>0.97334126023284673</v>
      </c>
      <c r="J34" s="18">
        <f t="shared" si="10"/>
        <v>0.97469986343284409</v>
      </c>
      <c r="K34" s="18">
        <f t="shared" si="10"/>
        <v>0.99125710630200459</v>
      </c>
      <c r="L34" s="61"/>
    </row>
    <row r="35" spans="1:12" s="63" customFormat="1" ht="12" customHeight="1">
      <c r="A35" s="76" t="s">
        <v>24</v>
      </c>
      <c r="B35" s="44" t="s">
        <v>2</v>
      </c>
      <c r="C35" s="45">
        <f>IF(D35="","",SUM(D35:K35))</f>
        <v>98025905</v>
      </c>
      <c r="D35" s="25">
        <v>12465226</v>
      </c>
      <c r="E35" s="25">
        <v>10562944</v>
      </c>
      <c r="F35" s="25">
        <f>12647079+2721145</f>
        <v>15368224</v>
      </c>
      <c r="G35" s="47">
        <v>9633876</v>
      </c>
      <c r="H35" s="25">
        <v>12931414</v>
      </c>
      <c r="I35" s="25">
        <v>14708582</v>
      </c>
      <c r="J35" s="47">
        <v>11349328</v>
      </c>
      <c r="K35" s="48">
        <f>10210535+795776</f>
        <v>11006311</v>
      </c>
      <c r="L35" s="57"/>
    </row>
    <row r="36" spans="1:12" s="63" customFormat="1" ht="12" customHeight="1">
      <c r="A36" s="77"/>
      <c r="B36" s="41" t="s">
        <v>3</v>
      </c>
      <c r="C36" s="12">
        <f>IF(D36="","",SUM(D36:K36))</f>
        <v>91594354.5</v>
      </c>
      <c r="D36" s="13">
        <v>11258470</v>
      </c>
      <c r="E36" s="13">
        <v>9376161</v>
      </c>
      <c r="F36" s="13">
        <f>12283448+2721145</f>
        <v>15004593</v>
      </c>
      <c r="G36" s="10">
        <v>8985258.1999999993</v>
      </c>
      <c r="H36" s="13">
        <v>11870250.300000001</v>
      </c>
      <c r="I36" s="13">
        <v>13807428</v>
      </c>
      <c r="J36" s="10">
        <v>11261782</v>
      </c>
      <c r="K36" s="70">
        <f>9000530+1029882</f>
        <v>10030412</v>
      </c>
      <c r="L36" s="58" t="s">
        <v>36</v>
      </c>
    </row>
    <row r="37" spans="1:12" s="63" customFormat="1" ht="12" customHeight="1">
      <c r="A37" s="78"/>
      <c r="B37" s="49" t="s">
        <v>0</v>
      </c>
      <c r="C37" s="50">
        <f>IF(C36="","",C36/C35)</f>
        <v>0.93438927699774865</v>
      </c>
      <c r="D37" s="50">
        <f t="shared" ref="D37:K37" si="11">IF(D35="","",D36/D35)</f>
        <v>0.90319020288922158</v>
      </c>
      <c r="E37" s="50">
        <f t="shared" si="11"/>
        <v>0.88764656898682792</v>
      </c>
      <c r="F37" s="50">
        <f t="shared" si="11"/>
        <v>0.97633877538484604</v>
      </c>
      <c r="G37" s="50">
        <f t="shared" si="11"/>
        <v>0.93267322518994422</v>
      </c>
      <c r="H37" s="50">
        <f t="shared" si="11"/>
        <v>0.91793908229989396</v>
      </c>
      <c r="I37" s="50">
        <f t="shared" si="11"/>
        <v>0.93873277519206133</v>
      </c>
      <c r="J37" s="50">
        <f t="shared" si="11"/>
        <v>0.99228623932624027</v>
      </c>
      <c r="K37" s="50">
        <f t="shared" si="11"/>
        <v>0.91133277989328121</v>
      </c>
      <c r="L37" s="59"/>
    </row>
    <row r="38" spans="1:12" ht="12" customHeight="1">
      <c r="A38" s="77" t="s">
        <v>25</v>
      </c>
      <c r="B38" s="38" t="s">
        <v>2</v>
      </c>
      <c r="C38" s="19">
        <f>IF(D38="","",SUM(D38:K38))</f>
        <v>94068672</v>
      </c>
      <c r="D38" s="13">
        <v>11894598</v>
      </c>
      <c r="E38" s="13">
        <v>10111162</v>
      </c>
      <c r="F38" s="13">
        <f>12233723+2619563</f>
        <v>14853286</v>
      </c>
      <c r="G38" s="10">
        <v>9352295</v>
      </c>
      <c r="H38" s="13">
        <v>12374321</v>
      </c>
      <c r="I38" s="13">
        <v>14028321</v>
      </c>
      <c r="J38" s="10">
        <v>10860867</v>
      </c>
      <c r="K38" s="11">
        <f>9775743+818079</f>
        <v>10593822</v>
      </c>
      <c r="L38" s="57"/>
    </row>
    <row r="39" spans="1:12" ht="12" customHeight="1">
      <c r="A39" s="77"/>
      <c r="B39" s="41" t="s">
        <v>3</v>
      </c>
      <c r="C39" s="12">
        <f>IF(D39="","",SUM(D39:K39))</f>
        <v>88662710</v>
      </c>
      <c r="D39" s="13">
        <v>10139891</v>
      </c>
      <c r="E39" s="13">
        <v>10433395</v>
      </c>
      <c r="F39" s="13">
        <f>11344903+2619563</f>
        <v>13964466</v>
      </c>
      <c r="G39" s="13">
        <v>8819709</v>
      </c>
      <c r="H39" s="13">
        <v>11610108</v>
      </c>
      <c r="I39" s="13">
        <v>13173574</v>
      </c>
      <c r="J39" s="10">
        <v>10480027</v>
      </c>
      <c r="K39" s="72">
        <f>9223461+818079</f>
        <v>10041540</v>
      </c>
      <c r="L39" s="73" t="s">
        <v>38</v>
      </c>
    </row>
    <row r="40" spans="1:12" ht="12" customHeight="1">
      <c r="A40" s="77"/>
      <c r="B40" s="43" t="s">
        <v>0</v>
      </c>
      <c r="C40" s="18">
        <f>IF(C39="","",C39/C38)</f>
        <v>0.94253174957120689</v>
      </c>
      <c r="D40" s="18">
        <f t="shared" ref="D40:K40" si="12">IF(D38="","",D39/D38)</f>
        <v>0.85247866300315489</v>
      </c>
      <c r="E40" s="18">
        <f t="shared" si="12"/>
        <v>1.0318690374063832</v>
      </c>
      <c r="F40" s="18">
        <f t="shared" si="12"/>
        <v>0.94016004270031561</v>
      </c>
      <c r="G40" s="18">
        <f t="shared" si="12"/>
        <v>0.9430529084037661</v>
      </c>
      <c r="H40" s="18">
        <f t="shared" si="12"/>
        <v>0.93824202556245306</v>
      </c>
      <c r="I40" s="18">
        <f t="shared" si="12"/>
        <v>0.93906990009709645</v>
      </c>
      <c r="J40" s="18">
        <f t="shared" si="12"/>
        <v>0.9649346594521413</v>
      </c>
      <c r="K40" s="18">
        <f t="shared" si="12"/>
        <v>0.94786754015689523</v>
      </c>
      <c r="L40" s="59"/>
    </row>
    <row r="41" spans="1:12" ht="12" customHeight="1">
      <c r="A41" s="76" t="s">
        <v>26</v>
      </c>
      <c r="B41" s="44" t="s">
        <v>2</v>
      </c>
      <c r="C41" s="45" t="str">
        <f>IF(D41="","",SUM(D41:K41))</f>
        <v/>
      </c>
      <c r="D41" s="25"/>
      <c r="E41" s="25"/>
      <c r="F41" s="25"/>
      <c r="G41" s="47"/>
      <c r="H41" s="25"/>
      <c r="I41" s="25"/>
      <c r="J41" s="47"/>
      <c r="K41" s="48"/>
      <c r="L41" s="57"/>
    </row>
    <row r="42" spans="1:12" ht="12" customHeight="1">
      <c r="A42" s="77"/>
      <c r="B42" s="41" t="s">
        <v>3</v>
      </c>
      <c r="C42" s="19" t="str">
        <f>IF(D42="","",SUM(D42:K42))</f>
        <v/>
      </c>
      <c r="D42" s="13"/>
      <c r="E42" s="13"/>
      <c r="F42" s="13"/>
      <c r="G42" s="10"/>
      <c r="H42" s="13"/>
      <c r="I42" s="13"/>
      <c r="J42" s="10"/>
      <c r="K42" s="11"/>
      <c r="L42" s="60"/>
    </row>
    <row r="43" spans="1:12" ht="12" customHeight="1" thickBot="1">
      <c r="A43" s="79"/>
      <c r="B43" s="42" t="s">
        <v>0</v>
      </c>
      <c r="C43" s="65" t="str">
        <f>IF(C42="","",C42/C41)</f>
        <v/>
      </c>
      <c r="D43" s="65" t="str">
        <f t="shared" ref="D43:K43" si="13">IF(D41="","",D42/D41)</f>
        <v/>
      </c>
      <c r="E43" s="65" t="str">
        <f t="shared" si="13"/>
        <v/>
      </c>
      <c r="F43" s="65" t="str">
        <f t="shared" si="13"/>
        <v/>
      </c>
      <c r="G43" s="65" t="str">
        <f t="shared" si="13"/>
        <v/>
      </c>
      <c r="H43" s="65" t="str">
        <f t="shared" si="13"/>
        <v/>
      </c>
      <c r="I43" s="65" t="str">
        <f t="shared" si="13"/>
        <v/>
      </c>
      <c r="J43" s="65" t="str">
        <f t="shared" si="13"/>
        <v/>
      </c>
      <c r="K43" s="65" t="str">
        <f t="shared" si="13"/>
        <v/>
      </c>
      <c r="L43" s="64"/>
    </row>
    <row r="44" spans="1:12">
      <c r="A44" s="3"/>
      <c r="B44" s="3"/>
      <c r="C44" s="3"/>
      <c r="D44" s="7"/>
      <c r="E44" s="7"/>
      <c r="F44" s="7"/>
      <c r="G44" s="7"/>
      <c r="H44" s="8"/>
      <c r="I44" s="8"/>
      <c r="J44" s="8"/>
      <c r="K44" s="8"/>
    </row>
    <row r="45" spans="1:12">
      <c r="A45" s="2"/>
      <c r="B45" s="2"/>
      <c r="C45" s="16"/>
      <c r="D45" s="16"/>
      <c r="E45" s="2"/>
      <c r="F45" s="2"/>
      <c r="G45" s="2"/>
    </row>
    <row r="46" spans="1:12">
      <c r="A46" s="2"/>
      <c r="B46" s="2"/>
      <c r="C46" s="16"/>
      <c r="D46" s="16"/>
      <c r="E46" s="2"/>
      <c r="F46" s="2"/>
      <c r="G46" s="2"/>
    </row>
    <row r="47" spans="1:12">
      <c r="A47" s="2"/>
      <c r="B47" s="2"/>
      <c r="C47" s="17"/>
      <c r="D47" s="17"/>
      <c r="E47" s="2"/>
      <c r="F47" s="2"/>
      <c r="G47" s="2"/>
    </row>
    <row r="48" spans="1:12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</sheetData>
  <mergeCells count="15">
    <mergeCell ref="A14:A16"/>
    <mergeCell ref="A1:L1"/>
    <mergeCell ref="A4:B4"/>
    <mergeCell ref="A5:A7"/>
    <mergeCell ref="A8:A10"/>
    <mergeCell ref="A11:A13"/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유수율</vt:lpstr>
    </vt:vector>
  </TitlesOfParts>
  <Company>상수도사업본부유수율팀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아리수</dc:creator>
  <cp:lastModifiedBy>user</cp:lastModifiedBy>
  <cp:lastPrinted>2019-12-20T05:13:37Z</cp:lastPrinted>
  <dcterms:created xsi:type="dcterms:W3CDTF">2000-01-13T20:38:12Z</dcterms:created>
  <dcterms:modified xsi:type="dcterms:W3CDTF">2020-03-02T09:45:38Z</dcterms:modified>
</cp:coreProperties>
</file>